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10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0">'10月の練習計画'!$B$1:$O$34</definedName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<sst xmlns="http://schemas.openxmlformats.org/spreadsheetml/2006/main" count="4543" uniqueCount="971">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</sst>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B1" sqref="B1"/>
    </sheetView>
  </sheetViews>
  <sheetFormatPr defaultRowHeight="13.5"/>
  <cols>
    <col min="1" max="1" width="1.875" customWidth="1"/>
    <col min="2" max="2" width="7.875" customWidth="1"/>
    <col min="3" max="3" width="7.875" hidden="1" customWidth="1"/>
    <col min="4" max="4" width="7.87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10</v>
      </c>
      <c r="C1" s="4"/>
      <c r="D1" s="678">
        <f>B1</f>
        <v>10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0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1</v>
      </c>
      <c r="D4" s="566" t="s">
        <v>71</v>
      </c>
      <c r="E4" s="567"/>
      <c r="F4" s="540" t="s">
        <v>30</v>
      </c>
      <c r="G4" s="568" t="s">
        <v>30</v>
      </c>
      <c r="H4" s="569" t="str">
        <f>IF($C4="","",VLOOKUP($C4,$R$3:$AE$30,4))</f>
        <v>走基,200mﾍﾟｰｽ走×(2～7本)</v>
      </c>
      <c r="I4" s="570" t="str">
        <f>IF($C4="","",VLOOKUP($C4,$R$3:$AE$30,5))</f>
        <v>走基,200mﾍﾟｰｽ走×(2～7本)</v>
      </c>
      <c r="J4" s="571" t="str">
        <f>IF($C4="","",VLOOKUP($C4,$R$3:$AE$30,6))</f>
        <v>走基,50m×(5～10本)</v>
      </c>
      <c r="K4" s="572" t="str">
        <f>IF($C4="","",VLOOKUP($C4,$R$3:$AE$30,7))</f>
        <v>6000mﾋﾞﾙﾄﾞ＋2000m</v>
      </c>
      <c r="L4" s="573" t="str">
        <f>IF($C4="","",VLOOKUP($C4,$R$3:$AE$30,8))</f>
        <v>男300m×(2～5),女200×(2～5)</v>
      </c>
      <c r="M4" s="545" t="str">
        <f>IF($C4="","",VLOOKUP($C4,$R$3:$AE$30,9))</f>
        <v>6000mﾋﾞﾙﾄﾞ/40秒間走×7</v>
      </c>
      <c r="N4" s="569" t="str">
        <f>IF($C4="","",VLOOKUP($C4,$R$3:$AE$30,10))</f>
        <v>走基,200mﾍﾟｰｽ走×(2～7本)</v>
      </c>
      <c r="O4" s="574" t="str">
        <f>IF($C4="","",VLOOKUP($C4,$R$3:$AE$30,11))</f>
        <v>10000mﾋﾞﾙﾄﾞ＋2000m×2本～3本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2</v>
      </c>
      <c r="D5" s="566" t="s">
        <v>79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走基,100m×(3～10本)＋筋トレ</v>
      </c>
      <c r="I5" s="570" t="str">
        <f t="shared" ref="I5:I34" si="2">IF($C5="","",VLOOKUP($C5,$R$3:$AE$30,5))</f>
        <v>種目基本＋筋ﾄﾚ</v>
      </c>
      <c r="J5" s="571" t="str">
        <f t="shared" ref="J5:J34" si="3">IF($C5="","",VLOOKUP($C5,$R$3:$AE$30,6))</f>
        <v>投てき基本＋筋ﾄﾚ</v>
      </c>
      <c r="K5" s="572" t="str">
        <f t="shared" ref="K5:K34" si="4">IF($C5="","",VLOOKUP($C5,$R$3:$AE$30,7))</f>
        <v>6000mﾋﾞﾙﾄﾞ＋2000m</v>
      </c>
      <c r="L5" s="573" t="str">
        <f t="shared" ref="L5:L34" si="5">IF($C5="","",VLOOKUP($C5,$R$3:$AE$30,8))</f>
        <v>走基,50mH×15,ﾊｰﾄﾞﾙSD</v>
      </c>
      <c r="M5" s="545" t="str">
        <f t="shared" ref="M5:M34" si="6">IF($C5="","",VLOOKUP($C5,$R$3:$AE$30,9))</f>
        <v>1000m×4/300m×5(10分)</v>
      </c>
      <c r="N5" s="569" t="str">
        <f t="shared" ref="N5:N34" si="7">IF($C5="","",VLOOKUP($C5,$R$3:$AE$30,10))</f>
        <v>走基,100m加3.55mHＳ3</v>
      </c>
      <c r="O5" s="574" t="str">
        <f t="shared" ref="O5:O34" si="8">IF($C5="","",VLOOKUP($C5,$R$3:$AE$30,11))</f>
        <v>8000mﾋﾞﾙﾄﾞ＋2000m×3本～4本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3</v>
      </c>
      <c r="D6" s="566" t="s">
        <v>90</v>
      </c>
      <c r="E6" s="567"/>
      <c r="F6" s="540" t="s">
        <v>59</v>
      </c>
      <c r="G6" s="568" t="s">
        <v>59</v>
      </c>
      <c r="H6" s="569" t="str">
        <f t="shared" si="1"/>
        <v>　ｽﾄﾚｯﾁ+ﾏｯｻｰｼﾞ</v>
      </c>
      <c r="I6" s="570" t="str">
        <f t="shared" si="2"/>
        <v>　ｽﾄﾚｯﾁ+ﾏｯｻｰｼﾞ</v>
      </c>
      <c r="J6" s="571" t="str">
        <f t="shared" si="3"/>
        <v>　ｽﾄﾚｯﾁ+ﾏｯｻｰｼﾞ</v>
      </c>
      <c r="K6" s="572" t="str">
        <f t="shared" si="4"/>
        <v>6000mjog+ﾏｯｻｰｼﾞ</v>
      </c>
      <c r="L6" s="573" t="str">
        <f t="shared" si="5"/>
        <v>ｽﾄﾚｯﾁ＋ﾏｯｻｰｼﾞ</v>
      </c>
      <c r="M6" s="545" t="str">
        <f t="shared" si="6"/>
        <v>4000mjog+ﾏｯｻｰｼﾞ</v>
      </c>
      <c r="N6" s="569" t="str">
        <f t="shared" si="7"/>
        <v>　ｽﾄﾚｯﾁ+ﾏｯｻｰｼﾞ</v>
      </c>
      <c r="O6" s="574" t="str">
        <f t="shared" si="8"/>
        <v>12000mjog+ﾏｯｻｰｼﾞ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4</v>
      </c>
      <c r="D7" s="566" t="s">
        <v>92</v>
      </c>
      <c r="E7" s="567"/>
      <c r="F7" s="540" t="s">
        <v>72</v>
      </c>
      <c r="G7" s="568" t="s">
        <v>21</v>
      </c>
      <c r="H7" s="569" t="str">
        <f t="shared" si="1"/>
        <v>走基,筋トレ×5セット</v>
      </c>
      <c r="I7" s="570" t="str">
        <f t="shared" si="2"/>
        <v>走基本､種目基本・実践</v>
      </c>
      <c r="J7" s="571" t="str">
        <f t="shared" si="3"/>
        <v>走基＋投てき実践</v>
      </c>
      <c r="K7" s="572" t="str">
        <f t="shared" si="4"/>
        <v>2000m×2＋1000m×1</v>
      </c>
      <c r="L7" s="573" t="str">
        <f t="shared" si="5"/>
        <v>砲丸投＋筋トレ</v>
      </c>
      <c r="M7" s="545" t="str">
        <f t="shared" si="6"/>
        <v>600m×4/200m×5(5分)</v>
      </c>
      <c r="N7" s="569" t="str">
        <f t="shared" si="7"/>
        <v>走基,50m加3.55mHＳ3</v>
      </c>
      <c r="O7" s="574" t="str">
        <f t="shared" si="8"/>
        <v>2000m×4～5本＋1000m×2～3本＋筋トレ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5</v>
      </c>
      <c r="D8" s="566" t="s">
        <v>29</v>
      </c>
      <c r="E8" s="567"/>
      <c r="F8" s="540" t="s">
        <v>30</v>
      </c>
      <c r="G8" s="568" t="s">
        <v>30</v>
      </c>
      <c r="H8" s="569" t="str">
        <f t="shared" si="1"/>
        <v>走基,100m×(3～10本)＋筋トレ</v>
      </c>
      <c r="I8" s="570" t="str">
        <f t="shared" si="2"/>
        <v>種目基本＋筋ﾄﾚ</v>
      </c>
      <c r="J8" s="571" t="str">
        <f t="shared" si="3"/>
        <v>投基本＋筋ﾄﾚor50m×(3～8本)</v>
      </c>
      <c r="K8" s="572" t="str">
        <f t="shared" si="4"/>
        <v>2000m×2＋200m×5本</v>
      </c>
      <c r="L8" s="573" t="str">
        <f t="shared" si="5"/>
        <v>走基,50mH×15,ﾊｰﾄﾞﾙSD</v>
      </c>
      <c r="M8" s="545" t="str">
        <f t="shared" si="6"/>
        <v>1000m×3/300m×4(10分)</v>
      </c>
      <c r="N8" s="569" t="str">
        <f t="shared" si="7"/>
        <v>走基,100m加3.55mHＳ3</v>
      </c>
      <c r="O8" s="574" t="str">
        <f t="shared" si="8"/>
        <v>2000m×3～4本＋1000m×1～2本＋筋トレ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6</v>
      </c>
      <c r="D9" s="566" t="s">
        <v>44</v>
      </c>
      <c r="E9" s="567"/>
      <c r="F9" s="540" t="s">
        <v>45</v>
      </c>
      <c r="G9" s="568" t="s">
        <v>46</v>
      </c>
      <c r="H9" s="569" t="str">
        <f t="shared" si="1"/>
        <v>走基,50m加速走×(5～10本）＋筋トレ</v>
      </c>
      <c r="I9" s="570" t="str">
        <f t="shared" si="2"/>
        <v>種目基本・実践＋筋ﾄﾚ</v>
      </c>
      <c r="J9" s="571" t="str">
        <f t="shared" si="3"/>
        <v>走基,投てき基本・実践＋筋トレ</v>
      </c>
      <c r="K9" s="572" t="str">
        <f t="shared" si="4"/>
        <v>90分ｼﾞｮｯｸor野外走90分＋筋トレ</v>
      </c>
      <c r="L9" s="573" t="str">
        <f t="shared" si="5"/>
        <v>高跳び実践＋砲丸＋300m×(2～5）</v>
      </c>
      <c r="M9" s="545" t="str">
        <f t="shared" si="6"/>
        <v>野外走/40秒間走×6＋筋トレ</v>
      </c>
      <c r="N9" s="569" t="str">
        <f t="shared" si="7"/>
        <v>走基,50mH×15,ﾊｰﾄﾞﾙSD＋筋トレ</v>
      </c>
      <c r="O9" s="574" t="str">
        <f t="shared" si="8"/>
        <v>120分ｼﾞｮｯｸor野外走120分＋筋トレ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7</v>
      </c>
      <c r="D10" s="566" t="s">
        <v>58</v>
      </c>
      <c r="E10" s="567" t="s">
        <v>59</v>
      </c>
      <c r="F10" s="540" t="s">
        <v>72</v>
      </c>
      <c r="G10" s="568" t="s">
        <v>21</v>
      </c>
      <c r="H10" s="569" t="str">
        <f t="shared" si="1"/>
        <v>自主ﾄﾚ又は積極的休養</v>
      </c>
      <c r="I10" s="570" t="str">
        <f t="shared" si="2"/>
        <v>自主ﾄﾚ又は積極的休養</v>
      </c>
      <c r="J10" s="571" t="str">
        <f t="shared" si="3"/>
        <v>自主ﾄﾚ又は積極的休養</v>
      </c>
      <c r="K10" s="572" t="str">
        <f t="shared" si="4"/>
        <v>積極的休養日</v>
      </c>
      <c r="L10" s="573" t="str">
        <f t="shared" si="5"/>
        <v>自主ﾄﾚ又は積極的休養</v>
      </c>
      <c r="M10" s="545" t="str">
        <f t="shared" si="6"/>
        <v>積極的休養日</v>
      </c>
      <c r="N10" s="569" t="str">
        <f t="shared" si="7"/>
        <v>自主ﾄﾚ又は積極的休養</v>
      </c>
      <c r="O10" s="574" t="str">
        <f t="shared" si="8"/>
        <v>積極的休養日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1</v>
      </c>
      <c r="D11" s="566" t="s">
        <v>71</v>
      </c>
      <c r="E11" s="567"/>
      <c r="F11" s="540" t="s">
        <v>30</v>
      </c>
      <c r="G11" s="568" t="s">
        <v>30</v>
      </c>
      <c r="H11" s="569" t="str">
        <f t="shared" si="1"/>
        <v>走基,200mﾍﾟｰｽ走×(2～7本)</v>
      </c>
      <c r="I11" s="570" t="str">
        <f t="shared" si="2"/>
        <v>走基,200mﾍﾟｰｽ走×(2～7本)</v>
      </c>
      <c r="J11" s="571" t="str">
        <f t="shared" si="3"/>
        <v>走基,50m×(5～10本)</v>
      </c>
      <c r="K11" s="572" t="str">
        <f t="shared" si="4"/>
        <v>6000mﾋﾞﾙﾄﾞ＋2000m</v>
      </c>
      <c r="L11" s="573" t="str">
        <f t="shared" si="5"/>
        <v>男300m×(2～5),女200×(2～5)</v>
      </c>
      <c r="M11" s="545" t="str">
        <f t="shared" si="6"/>
        <v>6000mﾋﾞﾙﾄﾞ/40秒間走×7</v>
      </c>
      <c r="N11" s="569" t="str">
        <f t="shared" si="7"/>
        <v>走基,200mﾍﾟｰｽ走×(2～7本)</v>
      </c>
      <c r="O11" s="574" t="str">
        <f t="shared" si="8"/>
        <v>10000mﾋﾞﾙﾄﾞ＋2000m×2本～3本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2</v>
      </c>
      <c r="D12" s="566" t="s">
        <v>79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走基,100m×(3～10本)＋筋トレ</v>
      </c>
      <c r="I12" s="570" t="str">
        <f t="shared" si="2"/>
        <v>種目基本＋筋ﾄﾚ</v>
      </c>
      <c r="J12" s="571" t="str">
        <f t="shared" si="3"/>
        <v>投てき基本＋筋ﾄﾚ</v>
      </c>
      <c r="K12" s="572" t="str">
        <f t="shared" si="4"/>
        <v>6000mﾋﾞﾙﾄﾞ＋2000m</v>
      </c>
      <c r="L12" s="573" t="str">
        <f t="shared" si="5"/>
        <v>走基,50mH×15,ﾊｰﾄﾞﾙSD</v>
      </c>
      <c r="M12" s="545" t="str">
        <f t="shared" si="6"/>
        <v>1000m×4/300m×5(10分)</v>
      </c>
      <c r="N12" s="569" t="str">
        <f t="shared" si="7"/>
        <v>走基,100m加3.55mHＳ3</v>
      </c>
      <c r="O12" s="574" t="str">
        <f t="shared" si="8"/>
        <v>8000mﾋﾞﾙﾄﾞ＋2000m×3本～4本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3</v>
      </c>
      <c r="D13" s="566" t="s">
        <v>90</v>
      </c>
      <c r="E13" s="567"/>
      <c r="F13" s="540" t="s">
        <v>59</v>
      </c>
      <c r="G13" s="568" t="s">
        <v>59</v>
      </c>
      <c r="H13" s="569" t="str">
        <f t="shared" si="1"/>
        <v>　ｽﾄﾚｯﾁ+ﾏｯｻｰｼﾞ</v>
      </c>
      <c r="I13" s="570" t="str">
        <f t="shared" si="2"/>
        <v>　ｽﾄﾚｯﾁ+ﾏｯｻｰｼﾞ</v>
      </c>
      <c r="J13" s="571" t="str">
        <f t="shared" si="3"/>
        <v>　ｽﾄﾚｯﾁ+ﾏｯｻｰｼﾞ</v>
      </c>
      <c r="K13" s="572" t="str">
        <f t="shared" si="4"/>
        <v>6000mjog+ﾏｯｻｰｼﾞ</v>
      </c>
      <c r="L13" s="573" t="str">
        <f t="shared" si="5"/>
        <v>ｽﾄﾚｯﾁ＋ﾏｯｻｰｼﾞ</v>
      </c>
      <c r="M13" s="545" t="str">
        <f t="shared" si="6"/>
        <v>4000mjog+ﾏｯｻｰｼﾞ</v>
      </c>
      <c r="N13" s="569" t="str">
        <f t="shared" si="7"/>
        <v>　ｽﾄﾚｯﾁ+ﾏｯｻｰｼﾞ</v>
      </c>
      <c r="O13" s="574" t="str">
        <f t="shared" si="8"/>
        <v>12000mjog+ﾏｯｻｰｼﾞ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4</v>
      </c>
      <c r="D14" s="566" t="s">
        <v>92</v>
      </c>
      <c r="E14" s="567"/>
      <c r="F14" s="540" t="s">
        <v>72</v>
      </c>
      <c r="G14" s="568" t="s">
        <v>21</v>
      </c>
      <c r="H14" s="569" t="str">
        <f t="shared" si="1"/>
        <v>走基,筋トレ×5セット</v>
      </c>
      <c r="I14" s="570" t="str">
        <f t="shared" si="2"/>
        <v>走基本､種目基本・実践</v>
      </c>
      <c r="J14" s="571" t="str">
        <f t="shared" si="3"/>
        <v>走基＋投てき実践</v>
      </c>
      <c r="K14" s="572" t="str">
        <f t="shared" si="4"/>
        <v>2000m×2＋1000m×1</v>
      </c>
      <c r="L14" s="573" t="str">
        <f t="shared" si="5"/>
        <v>砲丸投＋筋トレ</v>
      </c>
      <c r="M14" s="545" t="str">
        <f t="shared" si="6"/>
        <v>600m×4/200m×5(5分)</v>
      </c>
      <c r="N14" s="569" t="str">
        <f t="shared" si="7"/>
        <v>走基,50m加3.55mHＳ3</v>
      </c>
      <c r="O14" s="574" t="str">
        <f t="shared" si="8"/>
        <v>2000m×4～5本＋1000m×2～3本＋筋トレ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5</v>
      </c>
      <c r="D15" s="566" t="s">
        <v>29</v>
      </c>
      <c r="E15" s="567"/>
      <c r="F15" s="540" t="s">
        <v>30</v>
      </c>
      <c r="G15" s="568" t="s">
        <v>30</v>
      </c>
      <c r="H15" s="569" t="str">
        <f t="shared" si="1"/>
        <v>走基,100m×(3～10本)＋筋トレ</v>
      </c>
      <c r="I15" s="570" t="str">
        <f t="shared" si="2"/>
        <v>種目基本＋筋ﾄﾚ</v>
      </c>
      <c r="J15" s="571" t="str">
        <f t="shared" si="3"/>
        <v>投基本＋筋ﾄﾚor50m×(3～8本)</v>
      </c>
      <c r="K15" s="572" t="str">
        <f t="shared" si="4"/>
        <v>2000m×2＋200m×5本</v>
      </c>
      <c r="L15" s="573" t="str">
        <f t="shared" si="5"/>
        <v>走基,50mH×15,ﾊｰﾄﾞﾙSD</v>
      </c>
      <c r="M15" s="545" t="str">
        <f t="shared" si="6"/>
        <v>1000m×3/300m×4(10分)</v>
      </c>
      <c r="N15" s="569" t="str">
        <f t="shared" si="7"/>
        <v>走基,100m加3.55mHＳ3</v>
      </c>
      <c r="O15" s="574" t="str">
        <f t="shared" si="8"/>
        <v>2000m×3～4本＋1000m×1～2本＋筋トレ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6</v>
      </c>
      <c r="D16" s="566" t="s">
        <v>44</v>
      </c>
      <c r="E16" s="567"/>
      <c r="F16" s="540" t="s">
        <v>45</v>
      </c>
      <c r="G16" s="568" t="s">
        <v>46</v>
      </c>
      <c r="H16" s="569" t="str">
        <f t="shared" si="1"/>
        <v>走基,50m加速走×(5～10本）＋筋トレ</v>
      </c>
      <c r="I16" s="570" t="str">
        <f t="shared" si="2"/>
        <v>種目基本・実践＋筋ﾄﾚ</v>
      </c>
      <c r="J16" s="571" t="str">
        <f t="shared" si="3"/>
        <v>走基,投てき基本・実践＋筋トレ</v>
      </c>
      <c r="K16" s="572" t="str">
        <f t="shared" si="4"/>
        <v>90分ｼﾞｮｯｸor野外走90分＋筋トレ</v>
      </c>
      <c r="L16" s="573" t="str">
        <f t="shared" si="5"/>
        <v>高跳び実践＋砲丸＋300m×(2～5）</v>
      </c>
      <c r="M16" s="545" t="str">
        <f t="shared" si="6"/>
        <v>野外走/40秒間走×6＋筋トレ</v>
      </c>
      <c r="N16" s="569" t="str">
        <f t="shared" si="7"/>
        <v>走基,50mH×15,ﾊｰﾄﾞﾙSD＋筋トレ</v>
      </c>
      <c r="O16" s="574" t="str">
        <f t="shared" si="8"/>
        <v>120分ｼﾞｮｯｸor野外走120分＋筋トレ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7</v>
      </c>
      <c r="D17" s="566" t="s">
        <v>58</v>
      </c>
      <c r="E17" s="567"/>
      <c r="F17" s="540" t="s">
        <v>72</v>
      </c>
      <c r="G17" s="568" t="s">
        <v>21</v>
      </c>
      <c r="H17" s="569" t="str">
        <f t="shared" si="1"/>
        <v>自主ﾄﾚ又は積極的休養</v>
      </c>
      <c r="I17" s="570" t="str">
        <f t="shared" si="2"/>
        <v>自主ﾄﾚ又は積極的休養</v>
      </c>
      <c r="J17" s="571" t="str">
        <f t="shared" si="3"/>
        <v>自主ﾄﾚ又は積極的休養</v>
      </c>
      <c r="K17" s="572" t="str">
        <f t="shared" si="4"/>
        <v>積極的休養日</v>
      </c>
      <c r="L17" s="573" t="str">
        <f t="shared" si="5"/>
        <v>自主ﾄﾚ又は積極的休養</v>
      </c>
      <c r="M17" s="545" t="str">
        <f t="shared" si="6"/>
        <v>積極的休養日</v>
      </c>
      <c r="N17" s="569" t="str">
        <f t="shared" si="7"/>
        <v>自主ﾄﾚ又は積極的休養</v>
      </c>
      <c r="O17" s="574" t="str">
        <f t="shared" si="8"/>
        <v>積極的休養日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1</v>
      </c>
      <c r="D18" s="566" t="s">
        <v>71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走基,200mﾍﾟｰｽ走×(2～7本)</v>
      </c>
      <c r="I18" s="570" t="str">
        <f t="shared" si="2"/>
        <v>走基,200mﾍﾟｰｽ走×(2～7本)</v>
      </c>
      <c r="J18" s="571" t="str">
        <f t="shared" si="3"/>
        <v>走基,50m×(5～10本)</v>
      </c>
      <c r="K18" s="572" t="str">
        <f t="shared" si="4"/>
        <v>6000mﾋﾞﾙﾄﾞ＋2000m</v>
      </c>
      <c r="L18" s="573" t="str">
        <f t="shared" si="5"/>
        <v>男300m×(2～5),女200×(2～5)</v>
      </c>
      <c r="M18" s="545" t="str">
        <f t="shared" si="6"/>
        <v>6000mﾋﾞﾙﾄﾞ/40秒間走×7</v>
      </c>
      <c r="N18" s="569" t="str">
        <f t="shared" si="7"/>
        <v>走基,200mﾍﾟｰｽ走×(2～7本)</v>
      </c>
      <c r="O18" s="574" t="str">
        <f t="shared" si="8"/>
        <v>10000mﾋﾞﾙﾄﾞ＋2000m×2本～3本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2</v>
      </c>
      <c r="D19" s="566" t="s">
        <v>79</v>
      </c>
      <c r="E19" s="567"/>
      <c r="F19" s="540" t="s">
        <v>45</v>
      </c>
      <c r="G19" s="568" t="s">
        <v>46</v>
      </c>
      <c r="H19" s="569" t="str">
        <f t="shared" si="1"/>
        <v>走基,100m×(3～10本)＋筋トレ</v>
      </c>
      <c r="I19" s="570" t="str">
        <f t="shared" si="2"/>
        <v>種目基本＋筋ﾄﾚ</v>
      </c>
      <c r="J19" s="571" t="str">
        <f t="shared" si="3"/>
        <v>投てき基本＋筋ﾄﾚ</v>
      </c>
      <c r="K19" s="572" t="str">
        <f t="shared" si="4"/>
        <v>6000mﾋﾞﾙﾄﾞ＋2000m</v>
      </c>
      <c r="L19" s="573" t="str">
        <f t="shared" si="5"/>
        <v>走基,50mH×15,ﾊｰﾄﾞﾙSD</v>
      </c>
      <c r="M19" s="545" t="str">
        <f t="shared" si="6"/>
        <v>1000m×4/300m×5(10分)</v>
      </c>
      <c r="N19" s="569" t="str">
        <f t="shared" si="7"/>
        <v>走基,100m加3.55mHＳ3</v>
      </c>
      <c r="O19" s="574" t="str">
        <f t="shared" si="8"/>
        <v>8000mﾋﾞﾙﾄﾞ＋2000m×3本～4本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3</v>
      </c>
      <c r="D20" s="566" t="s">
        <v>90</v>
      </c>
      <c r="E20" s="567"/>
      <c r="F20" s="540" t="s">
        <v>59</v>
      </c>
      <c r="G20" s="568" t="s">
        <v>59</v>
      </c>
      <c r="H20" s="569" t="str">
        <f t="shared" si="1"/>
        <v>　ｽﾄﾚｯﾁ+ﾏｯｻｰｼﾞ</v>
      </c>
      <c r="I20" s="570" t="str">
        <f t="shared" si="2"/>
        <v>　ｽﾄﾚｯﾁ+ﾏｯｻｰｼﾞ</v>
      </c>
      <c r="J20" s="571" t="str">
        <f t="shared" si="3"/>
        <v>　ｽﾄﾚｯﾁ+ﾏｯｻｰｼﾞ</v>
      </c>
      <c r="K20" s="572" t="str">
        <f t="shared" si="4"/>
        <v>6000mjog+ﾏｯｻｰｼﾞ</v>
      </c>
      <c r="L20" s="573" t="str">
        <f t="shared" si="5"/>
        <v>ｽﾄﾚｯﾁ＋ﾏｯｻｰｼﾞ</v>
      </c>
      <c r="M20" s="545" t="str">
        <f t="shared" si="6"/>
        <v>4000mjog+ﾏｯｻｰｼﾞ</v>
      </c>
      <c r="N20" s="569" t="str">
        <f t="shared" si="7"/>
        <v>　ｽﾄﾚｯﾁ+ﾏｯｻｰｼﾞ</v>
      </c>
      <c r="O20" s="574" t="str">
        <f t="shared" si="8"/>
        <v>12000mjog+ﾏｯｻｰｼﾞ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4</v>
      </c>
      <c r="D21" s="566" t="s">
        <v>92</v>
      </c>
      <c r="E21" s="567"/>
      <c r="F21" s="540" t="s">
        <v>72</v>
      </c>
      <c r="G21" s="568" t="s">
        <v>21</v>
      </c>
      <c r="H21" s="569" t="str">
        <f t="shared" si="1"/>
        <v>走基,筋トレ×5セット</v>
      </c>
      <c r="I21" s="570" t="str">
        <f t="shared" si="2"/>
        <v>走基本､種目基本・実践</v>
      </c>
      <c r="J21" s="571" t="str">
        <f t="shared" si="3"/>
        <v>走基＋投てき実践</v>
      </c>
      <c r="K21" s="572" t="str">
        <f t="shared" si="4"/>
        <v>2000m×2＋1000m×1</v>
      </c>
      <c r="L21" s="573" t="str">
        <f t="shared" si="5"/>
        <v>砲丸投＋筋トレ</v>
      </c>
      <c r="M21" s="545" t="str">
        <f t="shared" si="6"/>
        <v>600m×4/200m×5(5分)</v>
      </c>
      <c r="N21" s="569" t="str">
        <f t="shared" si="7"/>
        <v>走基,50m加3.55mHＳ3</v>
      </c>
      <c r="O21" s="574" t="str">
        <f t="shared" si="8"/>
        <v>2000m×4～5本＋1000m×2～3本＋筋トレ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5</v>
      </c>
      <c r="D22" s="566" t="s">
        <v>29</v>
      </c>
      <c r="E22" s="567"/>
      <c r="F22" s="540" t="s">
        <v>30</v>
      </c>
      <c r="G22" s="568" t="s">
        <v>30</v>
      </c>
      <c r="H22" s="569" t="str">
        <f t="shared" si="1"/>
        <v>走基,100m×(3～10本)＋筋トレ</v>
      </c>
      <c r="I22" s="570" t="str">
        <f t="shared" si="2"/>
        <v>種目基本＋筋ﾄﾚ</v>
      </c>
      <c r="J22" s="571" t="str">
        <f t="shared" si="3"/>
        <v>投基本＋筋ﾄﾚor50m×(3～8本)</v>
      </c>
      <c r="K22" s="572" t="str">
        <f t="shared" si="4"/>
        <v>2000m×2＋200m×5本</v>
      </c>
      <c r="L22" s="573" t="str">
        <f t="shared" si="5"/>
        <v>走基,50mH×15,ﾊｰﾄﾞﾙSD</v>
      </c>
      <c r="M22" s="545" t="str">
        <f t="shared" si="6"/>
        <v>1000m×3/300m×4(10分)</v>
      </c>
      <c r="N22" s="569" t="str">
        <f t="shared" si="7"/>
        <v>走基,100m加3.55mHＳ3</v>
      </c>
      <c r="O22" s="574" t="str">
        <f t="shared" si="8"/>
        <v>2000m×3～4本＋1000m×1～2本＋筋トレ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6</v>
      </c>
      <c r="D23" s="566" t="s">
        <v>44</v>
      </c>
      <c r="E23" s="567"/>
      <c r="F23" s="540" t="s">
        <v>45</v>
      </c>
      <c r="G23" s="568" t="s">
        <v>46</v>
      </c>
      <c r="H23" s="569" t="str">
        <f t="shared" si="1"/>
        <v>走基,50m加速走×(5～10本）＋筋トレ</v>
      </c>
      <c r="I23" s="570" t="str">
        <f t="shared" si="2"/>
        <v>種目基本・実践＋筋ﾄﾚ</v>
      </c>
      <c r="J23" s="571" t="str">
        <f t="shared" si="3"/>
        <v>走基,投てき基本・実践＋筋トレ</v>
      </c>
      <c r="K23" s="572" t="str">
        <f t="shared" si="4"/>
        <v>90分ｼﾞｮｯｸor野外走90分＋筋トレ</v>
      </c>
      <c r="L23" s="573" t="str">
        <f t="shared" si="5"/>
        <v>高跳び実践＋砲丸＋300m×(2～5）</v>
      </c>
      <c r="M23" s="545" t="str">
        <f t="shared" si="6"/>
        <v>野外走/40秒間走×6＋筋トレ</v>
      </c>
      <c r="N23" s="569" t="str">
        <f t="shared" si="7"/>
        <v>走基,50mH×15,ﾊｰﾄﾞﾙSD＋筋トレ</v>
      </c>
      <c r="O23" s="574" t="str">
        <f t="shared" si="8"/>
        <v>120分ｼﾞｮｯｸor野外走120分＋筋トレ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7</v>
      </c>
      <c r="D24" s="566" t="s">
        <v>58</v>
      </c>
      <c r="E24" s="567"/>
      <c r="F24" s="540" t="s">
        <v>72</v>
      </c>
      <c r="G24" s="568" t="s">
        <v>21</v>
      </c>
      <c r="H24" s="569" t="str">
        <f t="shared" si="1"/>
        <v>自主ﾄﾚ又は積極的休養</v>
      </c>
      <c r="I24" s="570" t="str">
        <f t="shared" si="2"/>
        <v>自主ﾄﾚ又は積極的休養</v>
      </c>
      <c r="J24" s="571" t="str">
        <f t="shared" si="3"/>
        <v>自主ﾄﾚ又は積極的休養</v>
      </c>
      <c r="K24" s="572" t="str">
        <f t="shared" si="4"/>
        <v>積極的休養日</v>
      </c>
      <c r="L24" s="573" t="str">
        <f t="shared" si="5"/>
        <v>自主ﾄﾚ又は積極的休養</v>
      </c>
      <c r="M24" s="545" t="str">
        <f t="shared" si="6"/>
        <v>積極的休養日</v>
      </c>
      <c r="N24" s="569" t="str">
        <f t="shared" si="7"/>
        <v>自主ﾄﾚ又は積極的休養</v>
      </c>
      <c r="O24" s="574" t="str">
        <f t="shared" si="8"/>
        <v>積極的休養日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1</v>
      </c>
      <c r="D25" s="566" t="s">
        <v>71</v>
      </c>
      <c r="E25" s="567"/>
      <c r="F25" s="540" t="s">
        <v>30</v>
      </c>
      <c r="G25" s="568" t="s">
        <v>30</v>
      </c>
      <c r="H25" s="569" t="str">
        <f t="shared" si="1"/>
        <v>走基,200mﾍﾟｰｽ走×(2～7本)</v>
      </c>
      <c r="I25" s="570" t="str">
        <f t="shared" si="2"/>
        <v>走基,200mﾍﾟｰｽ走×(2～7本)</v>
      </c>
      <c r="J25" s="571" t="str">
        <f t="shared" si="3"/>
        <v>走基,50m×(5～10本)</v>
      </c>
      <c r="K25" s="572" t="str">
        <f t="shared" si="4"/>
        <v>6000mﾋﾞﾙﾄﾞ＋2000m</v>
      </c>
      <c r="L25" s="573" t="str">
        <f t="shared" si="5"/>
        <v>男300m×(2～5),女200×(2～5)</v>
      </c>
      <c r="M25" s="545" t="str">
        <f t="shared" si="6"/>
        <v>6000mﾋﾞﾙﾄﾞ/40秒間走×7</v>
      </c>
      <c r="N25" s="569" t="str">
        <f t="shared" si="7"/>
        <v>走基,200mﾍﾟｰｽ走×(2～7本)</v>
      </c>
      <c r="O25" s="574" t="str">
        <f t="shared" si="8"/>
        <v>10000mﾋﾞﾙﾄﾞ＋2000m×2本～3本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2</v>
      </c>
      <c r="D26" s="566" t="s">
        <v>79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走基,100m×(3～10本)＋筋トレ</v>
      </c>
      <c r="I26" s="570" t="str">
        <f t="shared" si="2"/>
        <v>種目基本＋筋ﾄﾚ</v>
      </c>
      <c r="J26" s="571" t="str">
        <f t="shared" si="3"/>
        <v>投てき基本＋筋ﾄﾚ</v>
      </c>
      <c r="K26" s="572" t="str">
        <f t="shared" si="4"/>
        <v>6000mﾋﾞﾙﾄﾞ＋2000m</v>
      </c>
      <c r="L26" s="573" t="str">
        <f t="shared" si="5"/>
        <v>走基,50mH×15,ﾊｰﾄﾞﾙSD</v>
      </c>
      <c r="M26" s="545" t="str">
        <f t="shared" si="6"/>
        <v>1000m×4/300m×5(10分)</v>
      </c>
      <c r="N26" s="569" t="str">
        <f t="shared" si="7"/>
        <v>走基,100m加3.55mHＳ3</v>
      </c>
      <c r="O26" s="574" t="str">
        <f t="shared" si="8"/>
        <v>8000mﾋﾞﾙﾄﾞ＋2000m×3本～4本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3</v>
      </c>
      <c r="D27" s="566" t="s">
        <v>90</v>
      </c>
      <c r="E27" s="567"/>
      <c r="F27" s="540" t="s">
        <v>59</v>
      </c>
      <c r="G27" s="568" t="s">
        <v>59</v>
      </c>
      <c r="H27" s="569" t="str">
        <f t="shared" si="1"/>
        <v>　ｽﾄﾚｯﾁ+ﾏｯｻｰｼﾞ</v>
      </c>
      <c r="I27" s="570" t="str">
        <f t="shared" si="2"/>
        <v>　ｽﾄﾚｯﾁ+ﾏｯｻｰｼﾞ</v>
      </c>
      <c r="J27" s="571" t="str">
        <f t="shared" si="3"/>
        <v>　ｽﾄﾚｯﾁ+ﾏｯｻｰｼﾞ</v>
      </c>
      <c r="K27" s="572" t="str">
        <f t="shared" si="4"/>
        <v>6000mjog+ﾏｯｻｰｼﾞ</v>
      </c>
      <c r="L27" s="573" t="str">
        <f t="shared" si="5"/>
        <v>ｽﾄﾚｯﾁ＋ﾏｯｻｰｼﾞ</v>
      </c>
      <c r="M27" s="545" t="str">
        <f t="shared" si="6"/>
        <v>4000mjog+ﾏｯｻｰｼﾞ</v>
      </c>
      <c r="N27" s="569" t="str">
        <f t="shared" si="7"/>
        <v>　ｽﾄﾚｯﾁ+ﾏｯｻｰｼﾞ</v>
      </c>
      <c r="O27" s="574" t="str">
        <f t="shared" si="8"/>
        <v>12000mjog+ﾏｯｻｰｼﾞ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4</v>
      </c>
      <c r="D28" s="566" t="s">
        <v>92</v>
      </c>
      <c r="E28" s="567"/>
      <c r="F28" s="540" t="s">
        <v>72</v>
      </c>
      <c r="G28" s="568" t="s">
        <v>21</v>
      </c>
      <c r="H28" s="569" t="str">
        <f t="shared" si="1"/>
        <v>走基,筋トレ×5セット</v>
      </c>
      <c r="I28" s="570" t="str">
        <f t="shared" si="2"/>
        <v>走基本､種目基本・実践</v>
      </c>
      <c r="J28" s="571" t="str">
        <f t="shared" si="3"/>
        <v>走基＋投てき実践</v>
      </c>
      <c r="K28" s="572" t="str">
        <f t="shared" si="4"/>
        <v>2000m×2＋1000m×1</v>
      </c>
      <c r="L28" s="573" t="str">
        <f t="shared" si="5"/>
        <v>砲丸投＋筋トレ</v>
      </c>
      <c r="M28" s="545" t="str">
        <f t="shared" si="6"/>
        <v>600m×4/200m×5(5分)</v>
      </c>
      <c r="N28" s="569" t="str">
        <f t="shared" si="7"/>
        <v>走基,50m加3.55mHＳ3</v>
      </c>
      <c r="O28" s="574" t="str">
        <f t="shared" si="8"/>
        <v>2000m×4～5本＋1000m×2～3本＋筋トレ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5</v>
      </c>
      <c r="D29" s="566" t="s">
        <v>29</v>
      </c>
      <c r="E29" s="567"/>
      <c r="F29" s="540" t="s">
        <v>30</v>
      </c>
      <c r="G29" s="568" t="s">
        <v>30</v>
      </c>
      <c r="H29" s="569" t="str">
        <f t="shared" si="1"/>
        <v>走基,100m×(3～10本)＋筋トレ</v>
      </c>
      <c r="I29" s="570" t="str">
        <f t="shared" si="2"/>
        <v>種目基本＋筋ﾄﾚ</v>
      </c>
      <c r="J29" s="571" t="str">
        <f t="shared" si="3"/>
        <v>投基本＋筋ﾄﾚor50m×(3～8本)</v>
      </c>
      <c r="K29" s="572" t="str">
        <f t="shared" si="4"/>
        <v>2000m×2＋200m×5本</v>
      </c>
      <c r="L29" s="573" t="str">
        <f t="shared" si="5"/>
        <v>走基,50mH×15,ﾊｰﾄﾞﾙSD</v>
      </c>
      <c r="M29" s="545" t="str">
        <f t="shared" si="6"/>
        <v>1000m×3/300m×4(10分)</v>
      </c>
      <c r="N29" s="569" t="str">
        <f t="shared" si="7"/>
        <v>走基,100m加3.55mHＳ3</v>
      </c>
      <c r="O29" s="574" t="str">
        <f t="shared" si="8"/>
        <v>2000m×3～4本＋1000m×1～2本＋筋トレ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6</v>
      </c>
      <c r="D30" s="566" t="s">
        <v>44</v>
      </c>
      <c r="E30" s="567"/>
      <c r="F30" s="540" t="s">
        <v>45</v>
      </c>
      <c r="G30" s="568" t="s">
        <v>46</v>
      </c>
      <c r="H30" s="569" t="str">
        <f t="shared" si="1"/>
        <v>走基,50m加速走×(5～10本）＋筋トレ</v>
      </c>
      <c r="I30" s="570" t="str">
        <f t="shared" si="2"/>
        <v>種目基本・実践＋筋ﾄﾚ</v>
      </c>
      <c r="J30" s="571" t="str">
        <f t="shared" si="3"/>
        <v>走基,投てき基本・実践＋筋トレ</v>
      </c>
      <c r="K30" s="572" t="str">
        <f t="shared" si="4"/>
        <v>90分ｼﾞｮｯｸor野外走90分＋筋トレ</v>
      </c>
      <c r="L30" s="573" t="str">
        <f t="shared" si="5"/>
        <v>高跳び実践＋砲丸＋300m×(2～5）</v>
      </c>
      <c r="M30" s="545" t="str">
        <f t="shared" si="6"/>
        <v>野外走/40秒間走×6＋筋トレ</v>
      </c>
      <c r="N30" s="569" t="str">
        <f t="shared" si="7"/>
        <v>走基,50mH×15,ﾊｰﾄﾞﾙSD＋筋トレ</v>
      </c>
      <c r="O30" s="574" t="str">
        <f t="shared" si="8"/>
        <v>120分ｼﾞｮｯｸor野外走120分＋筋トレ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7</v>
      </c>
      <c r="D31" s="566" t="s">
        <v>58</v>
      </c>
      <c r="E31" s="567"/>
      <c r="F31" s="540" t="s">
        <v>72</v>
      </c>
      <c r="G31" s="568" t="s">
        <v>21</v>
      </c>
      <c r="H31" s="569" t="str">
        <f t="shared" si="1"/>
        <v>自主ﾄﾚ又は積極的休養</v>
      </c>
      <c r="I31" s="570" t="str">
        <f t="shared" si="2"/>
        <v>自主ﾄﾚ又は積極的休養</v>
      </c>
      <c r="J31" s="571" t="str">
        <f t="shared" si="3"/>
        <v>自主ﾄﾚ又は積極的休養</v>
      </c>
      <c r="K31" s="572" t="str">
        <f t="shared" si="4"/>
        <v>積極的休養日</v>
      </c>
      <c r="L31" s="573" t="str">
        <f t="shared" si="5"/>
        <v>自主ﾄﾚ又は積極的休養</v>
      </c>
      <c r="M31" s="545" t="str">
        <f t="shared" si="6"/>
        <v>積極的休養日</v>
      </c>
      <c r="N31" s="569" t="str">
        <f t="shared" si="7"/>
        <v>自主ﾄﾚ又は積極的休養</v>
      </c>
      <c r="O31" s="574" t="str">
        <f t="shared" si="8"/>
        <v>積極的休養日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1</v>
      </c>
      <c r="D32" s="566" t="s">
        <v>71</v>
      </c>
      <c r="E32" s="567"/>
      <c r="F32" s="540" t="s">
        <v>30</v>
      </c>
      <c r="G32" s="568" t="s">
        <v>30</v>
      </c>
      <c r="H32" s="569" t="str">
        <f t="shared" si="1"/>
        <v>走基,200mﾍﾟｰｽ走×(2～7本)</v>
      </c>
      <c r="I32" s="570" t="str">
        <f t="shared" si="2"/>
        <v>走基,200mﾍﾟｰｽ走×(2～7本)</v>
      </c>
      <c r="J32" s="571" t="str">
        <f t="shared" si="3"/>
        <v>走基,50m×(5～10本)</v>
      </c>
      <c r="K32" s="572" t="str">
        <f t="shared" si="4"/>
        <v>6000mﾋﾞﾙﾄﾞ＋2000m</v>
      </c>
      <c r="L32" s="573" t="str">
        <f t="shared" si="5"/>
        <v>男300m×(2～5),女200×(2～5)</v>
      </c>
      <c r="M32" s="545" t="str">
        <f t="shared" si="6"/>
        <v>6000mﾋﾞﾙﾄﾞ/40秒間走×7</v>
      </c>
      <c r="N32" s="569" t="str">
        <f t="shared" si="7"/>
        <v>走基,200mﾍﾟｰｽ走×(2～7本)</v>
      </c>
      <c r="O32" s="574" t="str">
        <f t="shared" si="8"/>
        <v>10000mﾋﾞﾙﾄﾞ＋2000m×2本～3本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2</v>
      </c>
      <c r="D33" s="566" t="s">
        <v>79</v>
      </c>
      <c r="E33" s="567"/>
      <c r="F33" s="540" t="s">
        <v>45</v>
      </c>
      <c r="G33" s="568" t="s">
        <v>46</v>
      </c>
      <c r="H33" s="569" t="str">
        <f t="shared" si="1"/>
        <v>走基,100m×(3～10本)＋筋トレ</v>
      </c>
      <c r="I33" s="570" t="str">
        <f t="shared" si="2"/>
        <v>種目基本＋筋ﾄﾚ</v>
      </c>
      <c r="J33" s="571" t="str">
        <f t="shared" si="3"/>
        <v>投てき基本＋筋ﾄﾚ</v>
      </c>
      <c r="K33" s="572" t="str">
        <f t="shared" si="4"/>
        <v>6000mﾋﾞﾙﾄﾞ＋2000m</v>
      </c>
      <c r="L33" s="573" t="str">
        <f t="shared" si="5"/>
        <v>走基,50mH×15,ﾊｰﾄﾞﾙSD</v>
      </c>
      <c r="M33" s="545" t="str">
        <f t="shared" si="6"/>
        <v>1000m×4/300m×5(10分)</v>
      </c>
      <c r="N33" s="569" t="str">
        <f t="shared" si="7"/>
        <v>走基,100m加3.55mHＳ3</v>
      </c>
      <c r="O33" s="574" t="str">
        <f t="shared" si="8"/>
        <v>8000mﾋﾞﾙﾄﾞ＋2000m×3本～4本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3</v>
      </c>
      <c r="D34" s="576" t="s">
        <v>90</v>
      </c>
      <c r="E34" s="541"/>
      <c r="F34" s="542" t="s">
        <v>59</v>
      </c>
      <c r="G34" s="577" t="s">
        <v>59</v>
      </c>
      <c r="H34" s="578" t="str">
        <f t="shared" si="1"/>
        <v>　ｽﾄﾚｯﾁ+ﾏｯｻｰｼﾞ</v>
      </c>
      <c r="I34" s="579" t="str">
        <f t="shared" si="2"/>
        <v>　ｽﾄﾚｯﾁ+ﾏｯｻｰｼﾞ</v>
      </c>
      <c r="J34" s="580" t="str">
        <f t="shared" si="3"/>
        <v>　ｽﾄﾚｯﾁ+ﾏｯｻｰｼﾞ</v>
      </c>
      <c r="K34" s="581" t="str">
        <f t="shared" si="4"/>
        <v>6000mjog+ﾏｯｻｰｼﾞ</v>
      </c>
      <c r="L34" s="582" t="str">
        <f t="shared" si="5"/>
        <v>ｽﾄﾚｯﾁ＋ﾏｯｻｰｼﾞ</v>
      </c>
      <c r="M34" s="546" t="str">
        <f t="shared" si="6"/>
        <v>4000mjog+ﾏｯｻｰｼﾞ</v>
      </c>
      <c r="N34" s="578" t="str">
        <f t="shared" si="7"/>
        <v>　ｽﾄﾚｯﾁ+ﾏｯｻｰｼﾞ</v>
      </c>
      <c r="O34" s="583" t="str">
        <f t="shared" si="8"/>
        <v>12000mjog+ﾏｯｻｰｼﾞ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'10月の練習計画'!B1</f>
        <v>10</v>
      </c>
      <c r="B28" s="358"/>
      <c r="C28" s="468" t="str">
        <f>HLOOKUP($A$28,$H$2:$S$9,2)</f>
        <v>③３００ｍ３本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※９０％の力でのスピード養成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※休息時間は７分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男子２７秒　女子３２秒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※レペテーションでの全力に近いスピード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※レースをイメージしての全力走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11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'10月の練習計画'!B4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Q4" sqref="Q4:Q34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10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10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10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1</v>
      </c>
      <c r="G4" s="661">
        <f>IF(F4=0,IF(開始曜日=3,1,0),F4+1)</f>
        <v>2</v>
      </c>
      <c r="H4" s="661">
        <f>IF(G4=0,IF(開始曜日=4,1,0),G4+1)</f>
        <v>3</v>
      </c>
      <c r="I4" s="661">
        <f>IF(H4=0,IF(開始曜日=5,1,0),H4+1)</f>
        <v>4</v>
      </c>
      <c r="J4" s="661">
        <f>IF(I4=0,IF(開始曜日=6,1,0),I4+1)</f>
        <v>5</v>
      </c>
      <c r="K4" s="662">
        <f>IF(J4=0,IF(開始曜日=7,1,0),J4+1)</f>
        <v>6</v>
      </c>
      <c r="L4" s="646"/>
      <c r="M4" s="646"/>
      <c r="N4" s="646"/>
      <c r="O4" s="647"/>
      <c r="P4" s="657">
        <f>F4</f>
        <v>1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7</v>
      </c>
      <c r="F5" s="664">
        <f t="shared" ref="F5:K7" si="0">E5+1</f>
        <v>8</v>
      </c>
      <c r="G5" s="664">
        <f t="shared" si="0"/>
        <v>9</v>
      </c>
      <c r="H5" s="664">
        <f t="shared" si="0"/>
        <v>10</v>
      </c>
      <c r="I5" s="664">
        <f t="shared" si="0"/>
        <v>11</v>
      </c>
      <c r="J5" s="664">
        <f t="shared" si="0"/>
        <v>12</v>
      </c>
      <c r="K5" s="665">
        <f t="shared" si="0"/>
        <v>13</v>
      </c>
      <c r="L5" s="646"/>
      <c r="M5" s="646"/>
      <c r="N5" s="646"/>
      <c r="O5" s="647"/>
      <c r="P5" s="657">
        <f>G4</f>
        <v>2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14</v>
      </c>
      <c r="F6" s="664">
        <f t="shared" si="0"/>
        <v>15</v>
      </c>
      <c r="G6" s="664">
        <f t="shared" si="0"/>
        <v>16</v>
      </c>
      <c r="H6" s="664">
        <f t="shared" si="0"/>
        <v>17</v>
      </c>
      <c r="I6" s="664">
        <f t="shared" si="0"/>
        <v>18</v>
      </c>
      <c r="J6" s="664">
        <f t="shared" si="0"/>
        <v>19</v>
      </c>
      <c r="K6" s="665">
        <f t="shared" si="0"/>
        <v>20</v>
      </c>
      <c r="L6" s="646"/>
      <c r="M6" s="646"/>
      <c r="N6" s="646"/>
      <c r="O6" s="647"/>
      <c r="P6" s="657">
        <f>H4</f>
        <v>3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21</v>
      </c>
      <c r="F7" s="664">
        <f t="shared" si="0"/>
        <v>22</v>
      </c>
      <c r="G7" s="664">
        <f t="shared" si="0"/>
        <v>23</v>
      </c>
      <c r="H7" s="664">
        <f t="shared" si="0"/>
        <v>24</v>
      </c>
      <c r="I7" s="664">
        <f t="shared" si="0"/>
        <v>25</v>
      </c>
      <c r="J7" s="664">
        <f t="shared" si="0"/>
        <v>26</v>
      </c>
      <c r="K7" s="665">
        <f t="shared" si="0"/>
        <v>27</v>
      </c>
      <c r="L7" s="646"/>
      <c r="M7" s="646"/>
      <c r="N7" s="646"/>
      <c r="O7" s="647"/>
      <c r="P7" s="657">
        <f>I4</f>
        <v>4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28</v>
      </c>
      <c r="F8" s="664">
        <f t="shared" ref="F8:K8" si="1">IF(E8=0,0,IF(E8+1&gt;最終日,0,E8+1))</f>
        <v>29</v>
      </c>
      <c r="G8" s="664">
        <f t="shared" si="1"/>
        <v>30</v>
      </c>
      <c r="H8" s="664">
        <f t="shared" si="1"/>
        <v>31</v>
      </c>
      <c r="I8" s="664">
        <f t="shared" si="1"/>
        <v>0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5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6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7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43374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8</v>
      </c>
      <c r="Q11" s="658" t="s">
        <v>71</v>
      </c>
      <c r="R11" s="650">
        <v>1</v>
      </c>
    </row>
    <row r="12" spans="1:18" ht="18.75">
      <c r="A12" s="646"/>
      <c r="B12" s="646">
        <f>WEEKDAY(B11)</f>
        <v>2</v>
      </c>
      <c r="C12" s="646"/>
      <c r="D12" s="646"/>
      <c r="E12" s="646"/>
      <c r="F12" s="646"/>
      <c r="G12" s="670" t="s">
        <v>935</v>
      </c>
      <c r="H12" s="685">
        <f ca="1">NOW()</f>
        <v>43370.789890046297</v>
      </c>
      <c r="I12" s="685"/>
      <c r="J12" s="686"/>
      <c r="K12" s="687"/>
      <c r="L12" s="687"/>
      <c r="M12" s="646"/>
      <c r="N12" s="646"/>
      <c r="O12" s="647"/>
      <c r="P12" s="657">
        <f>G5</f>
        <v>9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10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11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12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13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14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15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16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17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18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19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20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21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22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23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24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25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26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27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28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29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30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31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0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'10月の練習計画'!U3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'10月の練習計画'!U4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'10月の練習計画'!U5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'10月の練習計画'!U6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'10月の練習計画'!U7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'10月の練習計画'!U8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'10月の練習計画'!U9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'10月の練習計画'!B1</f>
        <v>10</v>
      </c>
      <c r="B28" s="48"/>
      <c r="C28" s="401" t="str">
        <f>HLOOKUP($A$28,$H$2:$S$9,2)</f>
        <v>③２００ｍ４本　　　　　　２５分</v>
      </c>
      <c r="D28" s="58" t="str">
        <f>HLOOKUP($A$28,$H$12:$S$18,2)</f>
        <v>③１００ｍ６本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※９０％の力でのスピード養成</v>
      </c>
      <c r="D29" s="465" t="str">
        <f>HLOOKUP($A$28,$H$12:$S$18,3)</f>
        <v>※９０％の力でのスピード養成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※休息時間は７分</v>
      </c>
      <c r="D30" s="465" t="str">
        <f>HLOOKUP($A$28,$H$12:$S$18,4)</f>
        <v>※休息時間は３分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男子２７秒　女子３２秒</v>
      </c>
      <c r="D31" s="465" t="str">
        <f>HLOOKUP($A$28,$H$12:$S$18,5)</f>
        <v>※例　男子1３秒０　女子1４秒５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※レペテーションでの全力に近いスピード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※レースをイメージしての全力走</v>
      </c>
      <c r="D33" s="465" t="str">
        <f t="shared" ref="D33" si="0">HLOOKUP($A$28,$H$12:$S$18,2)</f>
        <v>③１００ｍ６本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５０ｍ加速走５本　　　　　　20分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※９０％の力でのスピード養成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※休息時間は３分３０秒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男子５秒６　女子６秒６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③１００ｍ６本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11</v>
      </c>
      <c r="B55" s="48"/>
      <c r="C55" s="469" t="s">
        <v>349</v>
      </c>
      <c r="D55" s="589" t="str">
        <f>HLOOKUP($A$55,$H$12:$S$18,3)</f>
        <v>※スピードは８５％の速さ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※休息時間は２分３０秒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男子○秒○　女子○秒○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②40秒走×5本　 ２５分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③300m×3本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※95％のスピードで走る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男子○秒×3本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'10月の練習計画'!B1</f>
        <v>10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③２００ｍ４本　　　　　　２５分</v>
      </c>
      <c r="D49" s="640" t="str">
        <f>HLOOKUP($A$55,$H$20:$T$26,2)</f>
        <v>③300m×3本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※95％のスピードで走る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※休息時間は７分</v>
      </c>
      <c r="D51" s="641" t="str">
        <f>HLOOKUP($A$55,$H$20:$T$26,4)</f>
        <v>※95％のスピードで走る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男子２７秒　女子３２秒</v>
      </c>
      <c r="D52" s="641" t="str">
        <f>HLOOKUP($A$55,$H$20:$T$26,5)</f>
        <v>　　男子○秒×3本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※レペテーションでの全力に近いスピード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②40秒走×6本　 ２５分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※レースをイメージしての全力走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11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男子３分００秒女子３分２０秒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'10月の練習計画'!B1</f>
        <v>10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※スピードは90％の速さ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男子３分０５秒女子３分３０秒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</v>
      </c>
      <c r="D49" s="151" t="str">
        <f>HLOOKUP($A$55,$H$20:$S$25,2)</f>
        <v>③３００ｍ５本（８００ｍ）２５分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※スピードは95％の速さ</v>
      </c>
      <c r="D50" s="152" t="str">
        <f>HLOOKUP($A$55,$H$20:$S$25,3)</f>
        <v>※スピードは90％の速さ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男子１分３８秒女子１分４８秒</v>
      </c>
      <c r="D52" s="152" t="str">
        <f>HLOOKUP($A$55,$H$20:$S$25,5)</f>
        <v>※例　男子５３秒０女子５６秒０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11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200m42秒</v>
      </c>
      <c r="D19" s="465" t="str">
        <f>HLOOKUP($A$55,$H$15:$S$22,5)</f>
        <v>※次の1000m　200m42秒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200m40秒</v>
      </c>
      <c r="D20" s="465" t="str">
        <f>HLOOKUP($A$55,$H$15:$S$22,6)</f>
        <v>※次の1000m　200m40秒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'10月の練習計画'!B1</f>
        <v>10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※休息時間は１０分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※Aチーム６分３０秒</v>
      </c>
      <c r="D46" s="676" t="str">
        <f>HLOOKUP($A$55,$H$2:$S$8,5)</f>
        <v>※Aチーム６分３０秒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※Bチーム７分００秒</v>
      </c>
      <c r="D47" s="676" t="str">
        <f>HLOOKUP($A$55,$H$2:$S$8,6)</f>
        <v>※Bチーム７分００秒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11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'10月の練習計画'!B1</f>
        <v>10</v>
      </c>
      <c r="B28" s="184"/>
      <c r="C28" s="468" t="str">
        <f>HLOOKUP($A$28,$H$2:$S$9,2)</f>
        <v>③２００ｍ３本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※休息時間は１０分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男子２６秒　女子３０秒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11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③１５０ｍ５本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※スピードは８５％の速さ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※休息時間は２分３０秒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男子○秒○　女子○秒○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'10月の練習計画'!B1</f>
        <v>10</v>
      </c>
      <c r="B28" s="242"/>
      <c r="C28" s="294" t="str">
        <f>HLOOKUP($A$28,$H$2:$S$9,2)</f>
        <v>③２００ｍ４本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※９０％の力でのスピード養成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※休息時間は７分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男子２７秒　女子３２秒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※レペテーションでの全力に近いスピード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※レースをイメージしての全力走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11</v>
      </c>
      <c r="B55" s="242"/>
      <c r="C55" s="291" t="s">
        <v>661</v>
      </c>
      <c r="D55" s="293" t="str">
        <f>HLOOKUP($A$55,$H$2:$S$9,2)</f>
        <v>③２００ｍ5本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※スピードは８５％の速さ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※休息時間は５分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男子２９秒　女子３５秒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※全力走に近いスピードでのスピード持続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※速いスピードでの筋持久力の養成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'10月の練習計画'!B1</f>
        <v>10</v>
      </c>
      <c r="B28" s="312"/>
      <c r="C28" s="468" t="str">
        <f>HLOOKUP($A$28,$H$12:$Z$18,2)</f>
        <v>③１００ｍ5本　　　　　　２５分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※９０％の力でのスピード養成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※休息時間は３分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男子1３秒０　女子1４秒５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11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③１００ｍ4本　　　　　　15分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※スピードは８５％の速さ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※休息時間は２分３０秒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男子1３秒５　女子1５秒０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10月の練習計画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'10月の練習計画'!Print_Area</vt:lpstr>
      <vt:lpstr>'400m'!Print_Area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2018-09-27T09:57:40Z</dcterms:modified>
</cp:coreProperties>
</file>